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errean.seppey\Desktop\Cours surchauffes\"/>
    </mc:Choice>
  </mc:AlternateContent>
  <xr:revisionPtr revIDLastSave="0" documentId="13_ncr:1_{BA48FF8F-160B-4780-9C8E-FB46EBD1FD62}" xr6:coauthVersionLast="46" xr6:coauthVersionMax="46" xr10:uidLastSave="{00000000-0000-0000-0000-000000000000}"/>
  <bookViews>
    <workbookView xWindow="-19320" yWindow="-90" windowWidth="19440" windowHeight="15150" xr2:uid="{00000000-000D-0000-FFFF-FFFF00000000}"/>
  </bookViews>
  <sheets>
    <sheet name="Calcul" sheetId="1" r:id="rId1"/>
    <sheet name="Données" sheetId="2" r:id="rId2"/>
  </sheets>
  <definedNames>
    <definedName name="list_H_orientation">Données!$O$1:$AD$1</definedName>
    <definedName name="list_orientation">Données!$L$2:$L$17</definedName>
    <definedName name="list_position">Données!$E$2:$E$5</definedName>
    <definedName name="list_type">Données!$B$2:$B$3</definedName>
    <definedName name="tab_H_orientation">Données!$O$2:$AD$17</definedName>
    <definedName name="tab_orientation">Données!$L$2:$N$17</definedName>
    <definedName name="tab_position">Données!$E$2:$J$5</definedName>
    <definedName name="tab_type">Données!$B$2:$C$3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2" l="1"/>
  <c r="I4" i="2" l="1"/>
  <c r="I3" i="2"/>
  <c r="I2" i="2"/>
  <c r="Y50" i="1" s="1"/>
  <c r="Y48" i="1"/>
  <c r="Y46" i="1"/>
  <c r="Y44" i="1"/>
  <c r="Y42" i="1"/>
  <c r="Y10" i="1"/>
  <c r="D15" i="2"/>
  <c r="O7" i="2"/>
  <c r="O9" i="2"/>
  <c r="O11" i="2"/>
  <c r="O13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Y18" i="1"/>
  <c r="Y22" i="1" s="1"/>
  <c r="AC12" i="1"/>
  <c r="C16" i="2"/>
  <c r="D16" i="2"/>
  <c r="D14" i="2"/>
  <c r="C14" i="2"/>
  <c r="U12" i="1"/>
  <c r="Q18" i="1"/>
  <c r="Q22" i="1" s="1"/>
  <c r="J3" i="2" l="1"/>
  <c r="J4" i="2"/>
  <c r="J2" i="2"/>
  <c r="Y52" i="1" s="1"/>
  <c r="C15" i="2"/>
  <c r="C17" i="2"/>
  <c r="D17" i="2" l="1"/>
  <c r="Y24" i="1" l="1"/>
  <c r="N15" i="2" s="1"/>
  <c r="N17" i="2" l="1"/>
  <c r="N11" i="2"/>
  <c r="N4" i="2"/>
  <c r="N5" i="2"/>
  <c r="N3" i="2"/>
  <c r="N2" i="2"/>
  <c r="N14" i="2"/>
  <c r="N16" i="2"/>
  <c r="N13" i="2"/>
  <c r="N7" i="2"/>
  <c r="N8" i="2"/>
  <c r="N12" i="2"/>
  <c r="N9" i="2"/>
  <c r="N10" i="2"/>
  <c r="N6" i="2"/>
  <c r="Y26" i="1"/>
</calcChain>
</file>

<file path=xl/sharedStrings.xml><?xml version="1.0" encoding="utf-8"?>
<sst xmlns="http://schemas.openxmlformats.org/spreadsheetml/2006/main" count="114" uniqueCount="66">
  <si>
    <t>Objet:</t>
  </si>
  <si>
    <t>Type de local</t>
  </si>
  <si>
    <t>Face 1</t>
  </si>
  <si>
    <t>Orientation</t>
  </si>
  <si>
    <t>Longueur de façade</t>
  </si>
  <si>
    <t>Hauteur de façade</t>
  </si>
  <si>
    <t>Taux de surface vitrée</t>
  </si>
  <si>
    <t>Taux de surface vitrée déterminant</t>
  </si>
  <si>
    <t>Coefficient g max équivalent</t>
  </si>
  <si>
    <t>°</t>
  </si>
  <si>
    <t>Ug (valeur U du vitrage)</t>
  </si>
  <si>
    <t>G1</t>
  </si>
  <si>
    <t>G2</t>
  </si>
  <si>
    <t>G</t>
  </si>
  <si>
    <t>m</t>
  </si>
  <si>
    <t>m²</t>
  </si>
  <si>
    <t>W/m²·K</t>
  </si>
  <si>
    <t>Degrés</t>
  </si>
  <si>
    <t>S</t>
  </si>
  <si>
    <t>N</t>
  </si>
  <si>
    <t>E</t>
  </si>
  <si>
    <t>-157.5</t>
  </si>
  <si>
    <t>-135</t>
  </si>
  <si>
    <t>-102.5</t>
  </si>
  <si>
    <t>-90</t>
  </si>
  <si>
    <t>-67.5</t>
  </si>
  <si>
    <t>-45</t>
  </si>
  <si>
    <t>-22.5</t>
  </si>
  <si>
    <t>NNE</t>
  </si>
  <si>
    <t>NE</t>
  </si>
  <si>
    <t>ENE</t>
  </si>
  <si>
    <t>ESE</t>
  </si>
  <si>
    <t>SE</t>
  </si>
  <si>
    <t>SSE</t>
  </si>
  <si>
    <t>1 face vitrée</t>
  </si>
  <si>
    <t>Coefficient g</t>
  </si>
  <si>
    <t>Valeur</t>
  </si>
  <si>
    <t>Position du store</t>
  </si>
  <si>
    <t>Grande face</t>
  </si>
  <si>
    <t>Petite face</t>
  </si>
  <si>
    <t>SSO</t>
  </si>
  <si>
    <t>SO</t>
  </si>
  <si>
    <t>OSO</t>
  </si>
  <si>
    <t>O</t>
  </si>
  <si>
    <t>ONO</t>
  </si>
  <si>
    <t>NO</t>
  </si>
  <si>
    <t>NNO</t>
  </si>
  <si>
    <t>opaque (surface et longueur)</t>
  </si>
  <si>
    <t>vitrée (surface)</t>
  </si>
  <si>
    <r>
      <t>Absorption du store a</t>
    </r>
    <r>
      <rPr>
        <sz val="8"/>
        <color theme="1"/>
        <rFont val="Calibri"/>
        <family val="2"/>
        <scheme val="minor"/>
      </rPr>
      <t>e,B</t>
    </r>
    <r>
      <rPr>
        <sz val="11"/>
        <color theme="1"/>
        <rFont val="Calibri"/>
        <family val="2"/>
        <scheme val="minor"/>
      </rPr>
      <t xml:space="preserve"> (AS)</t>
    </r>
  </si>
  <si>
    <t>-</t>
  </si>
  <si>
    <t>extérieure</t>
  </si>
  <si>
    <t>intérieure</t>
  </si>
  <si>
    <t>intégrée</t>
  </si>
  <si>
    <t>G3</t>
  </si>
  <si>
    <t>g</t>
  </si>
  <si>
    <t>2 faces vitrées (local d'angle)</t>
  </si>
  <si>
    <r>
      <t>g</t>
    </r>
    <r>
      <rPr>
        <sz val="8"/>
        <color theme="1"/>
        <rFont val="Calibri"/>
        <family val="2"/>
        <scheme val="minor"/>
      </rPr>
      <t>tot</t>
    </r>
    <r>
      <rPr>
        <sz val="11"/>
        <color theme="1"/>
        <rFont val="Calibri"/>
        <family val="2"/>
        <scheme val="minor"/>
      </rPr>
      <t xml:space="preserve"> (store + vitrage)</t>
    </r>
  </si>
  <si>
    <r>
      <t>Coefficient g</t>
    </r>
    <r>
      <rPr>
        <b/>
        <sz val="8"/>
        <color theme="1"/>
        <rFont val="Calibri"/>
        <family val="2"/>
        <scheme val="minor"/>
      </rPr>
      <t>tot</t>
    </r>
    <r>
      <rPr>
        <b/>
        <sz val="11"/>
        <color theme="1"/>
        <rFont val="Calibri"/>
        <family val="2"/>
        <scheme val="minor"/>
      </rPr>
      <t xml:space="preserve"> selon SIA 180.078</t>
    </r>
  </si>
  <si>
    <t>Surface de façade</t>
  </si>
  <si>
    <t>Surface nette vitrée (sans cadres)</t>
  </si>
  <si>
    <t>g (coefficient g du vitrage comprise entre 0.15 et 0.85)</t>
  </si>
  <si>
    <r>
      <t xml:space="preserve">Transmission solaire du store </t>
    </r>
    <r>
      <rPr>
        <sz val="11"/>
        <color theme="1"/>
        <rFont val="Symbol"/>
        <family val="1"/>
        <charset val="2"/>
      </rPr>
      <t>t</t>
    </r>
    <r>
      <rPr>
        <sz val="8"/>
        <color theme="1"/>
        <rFont val="Calibri"/>
        <family val="2"/>
        <scheme val="minor"/>
      </rPr>
      <t>e,B</t>
    </r>
    <r>
      <rPr>
        <sz val="11"/>
        <color theme="1"/>
        <rFont val="Calibri"/>
        <family val="2"/>
        <scheme val="minor"/>
      </rPr>
      <t xml:space="preserve"> (TS comprise entre 0% et 50%)</t>
    </r>
  </si>
  <si>
    <r>
      <t xml:space="preserve">Réflexion solaire du store </t>
    </r>
    <r>
      <rPr>
        <sz val="11"/>
        <color theme="1"/>
        <rFont val="Symbol"/>
        <family val="1"/>
        <charset val="2"/>
      </rPr>
      <t>r</t>
    </r>
    <r>
      <rPr>
        <sz val="8"/>
        <color theme="1"/>
        <rFont val="Calibri"/>
        <family val="2"/>
        <scheme val="minor"/>
      </rPr>
      <t>e,B</t>
    </r>
    <r>
      <rPr>
        <sz val="11"/>
        <color theme="1"/>
        <rFont val="Calibri"/>
        <family val="2"/>
        <scheme val="minor"/>
      </rPr>
      <t xml:space="preserve"> (RS comprise entre 10% et 80%)</t>
    </r>
  </si>
  <si>
    <t>pas de store</t>
  </si>
  <si>
    <t>Coefficient g max équivalent selon SIA 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</si>
</sst>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8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49" fontId="0" fillId="0" borderId="0" xfId="0" applyNumberFormat="1"/>
    <xf numFmtId="0" fontId="5" fillId="0" borderId="0" xfId="0" applyFont="1"/>
    <xf numFmtId="0" fontId="0" fillId="0" borderId="5" xfId="0" applyBorder="1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15" xfId="0" quotePrefix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" fillId="0" borderId="0" xfId="0" applyFont="1" applyBorder="1"/>
    <xf numFmtId="0" fontId="0" fillId="0" borderId="19" xfId="0" applyBorder="1"/>
    <xf numFmtId="0" fontId="0" fillId="0" borderId="0" xfId="0" quotePrefix="1" applyBorder="1"/>
    <xf numFmtId="0" fontId="0" fillId="0" borderId="20" xfId="0" applyBorder="1"/>
    <xf numFmtId="0" fontId="0" fillId="0" borderId="21" xfId="0" applyBorder="1"/>
    <xf numFmtId="0" fontId="6" fillId="0" borderId="0" xfId="0" applyFont="1" applyBorder="1"/>
    <xf numFmtId="0" fontId="0" fillId="0" borderId="10" xfId="0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0" borderId="24" xfId="0" applyNumberFormat="1" applyFont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9" fontId="0" fillId="2" borderId="2" xfId="1" applyFont="1" applyFill="1" applyBorder="1" applyAlignment="1">
      <alignment horizontal="center"/>
    </xf>
    <xf numFmtId="9" fontId="0" fillId="2" borderId="3" xfId="1" applyFont="1" applyFill="1" applyBorder="1" applyAlignment="1">
      <alignment horizontal="center"/>
    </xf>
    <xf numFmtId="9" fontId="0" fillId="3" borderId="1" xfId="1" applyFont="1" applyFill="1" applyBorder="1" applyAlignment="1">
      <alignment horizontal="center"/>
    </xf>
    <xf numFmtId="9" fontId="0" fillId="3" borderId="2" xfId="1" applyFont="1" applyFill="1" applyBorder="1" applyAlignment="1">
      <alignment horizontal="center"/>
    </xf>
    <xf numFmtId="9" fontId="0" fillId="3" borderId="3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0" fontId="0" fillId="3" borderId="1" xfId="0" quotePrefix="1" applyFill="1" applyBorder="1" applyAlignment="1">
      <alignment horizontal="center"/>
    </xf>
    <xf numFmtId="0" fontId="0" fillId="3" borderId="3" xfId="0" quotePrefix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53"/>
  <sheetViews>
    <sheetView tabSelected="1" topLeftCell="A13" workbookViewId="0">
      <selection activeCell="G5" sqref="G5:P5"/>
    </sheetView>
  </sheetViews>
  <sheetFormatPr defaultColWidth="11.42578125" defaultRowHeight="15" x14ac:dyDescent="0.25"/>
  <cols>
    <col min="1" max="35" width="2.7109375" customWidth="1"/>
  </cols>
  <sheetData>
    <row r="2" spans="1:31" x14ac:dyDescent="0.25">
      <c r="A2" t="s">
        <v>0</v>
      </c>
    </row>
    <row r="5" spans="1:31" x14ac:dyDescent="0.25">
      <c r="B5" t="s">
        <v>1</v>
      </c>
      <c r="G5" s="48" t="s">
        <v>34</v>
      </c>
      <c r="H5" s="49"/>
      <c r="I5" s="49"/>
      <c r="J5" s="49"/>
      <c r="K5" s="49"/>
      <c r="L5" s="49"/>
      <c r="M5" s="49"/>
      <c r="N5" s="49"/>
      <c r="O5" s="49"/>
      <c r="P5" s="50"/>
    </row>
    <row r="7" spans="1:31" x14ac:dyDescent="0.25"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8"/>
    </row>
    <row r="8" spans="1:31" x14ac:dyDescent="0.25">
      <c r="B8" s="2"/>
      <c r="C8" s="29" t="s">
        <v>65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30"/>
    </row>
    <row r="9" spans="1:31" x14ac:dyDescent="0.25">
      <c r="B9" s="2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30"/>
    </row>
    <row r="10" spans="1:31" x14ac:dyDescent="0.25">
      <c r="B10" s="2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"/>
      <c r="Q10" s="34" t="s">
        <v>2</v>
      </c>
      <c r="R10" s="16"/>
      <c r="S10" s="16"/>
      <c r="T10" s="16"/>
      <c r="U10" s="16"/>
      <c r="V10" s="16"/>
      <c r="W10" s="16"/>
      <c r="X10" s="2"/>
      <c r="Y10" s="34" t="str">
        <f>IF(VLOOKUP(G5,tab_type,2,FALSE)=0,"A laisser vide","Face 2 (local d'angle)")</f>
        <v>A laisser vide</v>
      </c>
      <c r="Z10" s="16"/>
      <c r="AA10" s="16"/>
      <c r="AB10" s="16"/>
      <c r="AC10" s="16"/>
      <c r="AD10" s="16"/>
      <c r="AE10" s="30"/>
    </row>
    <row r="11" spans="1:31" x14ac:dyDescent="0.25">
      <c r="B11" s="2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"/>
      <c r="Q11" s="16"/>
      <c r="R11" s="16"/>
      <c r="S11" s="16"/>
      <c r="T11" s="16"/>
      <c r="U11" s="16"/>
      <c r="V11" s="16"/>
      <c r="W11" s="16"/>
      <c r="X11" s="2"/>
      <c r="Y11" s="16"/>
      <c r="Z11" s="16"/>
      <c r="AA11" s="16"/>
      <c r="AB11" s="16"/>
      <c r="AC11" s="16"/>
      <c r="AD11" s="16"/>
      <c r="AE11" s="30"/>
    </row>
    <row r="12" spans="1:31" x14ac:dyDescent="0.25">
      <c r="B12" s="2"/>
      <c r="C12" s="16" t="s">
        <v>3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"/>
      <c r="Q12" s="48" t="s">
        <v>18</v>
      </c>
      <c r="R12" s="49"/>
      <c r="S12" s="50"/>
      <c r="T12" s="16"/>
      <c r="U12" s="57">
        <f>VLOOKUP(Q12,tab_orientation,2,FALSE)</f>
        <v>0</v>
      </c>
      <c r="V12" s="58"/>
      <c r="W12" s="16" t="s">
        <v>9</v>
      </c>
      <c r="X12" s="2"/>
      <c r="Y12" s="48" t="s">
        <v>20</v>
      </c>
      <c r="Z12" s="49"/>
      <c r="AA12" s="50"/>
      <c r="AB12" s="16"/>
      <c r="AC12" s="57" t="str">
        <f>VLOOKUP(Y12,tab_orientation,2,FALSE)</f>
        <v>-90</v>
      </c>
      <c r="AD12" s="58"/>
      <c r="AE12" s="30" t="s">
        <v>9</v>
      </c>
    </row>
    <row r="13" spans="1:31" ht="6" customHeight="1" x14ac:dyDescent="0.25">
      <c r="B13" s="2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"/>
      <c r="Q13" s="16"/>
      <c r="R13" s="16"/>
      <c r="S13" s="16"/>
      <c r="T13" s="16"/>
      <c r="U13" s="16"/>
      <c r="V13" s="16"/>
      <c r="W13" s="16"/>
      <c r="X13" s="2"/>
      <c r="Y13" s="16"/>
      <c r="Z13" s="16"/>
      <c r="AA13" s="16"/>
      <c r="AB13" s="16"/>
      <c r="AC13" s="16"/>
      <c r="AD13" s="16"/>
      <c r="AE13" s="30"/>
    </row>
    <row r="14" spans="1:31" x14ac:dyDescent="0.25">
      <c r="B14" s="2"/>
      <c r="C14" s="16" t="s">
        <v>4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"/>
      <c r="Q14" s="51">
        <v>12.5</v>
      </c>
      <c r="R14" s="52"/>
      <c r="S14" s="53"/>
      <c r="T14" s="16" t="s">
        <v>14</v>
      </c>
      <c r="U14" s="16"/>
      <c r="V14" s="16"/>
      <c r="W14" s="16"/>
      <c r="X14" s="2"/>
      <c r="Y14" s="51">
        <v>6</v>
      </c>
      <c r="Z14" s="52"/>
      <c r="AA14" s="53"/>
      <c r="AB14" s="16" t="s">
        <v>14</v>
      </c>
      <c r="AC14" s="16"/>
      <c r="AD14" s="16"/>
      <c r="AE14" s="30"/>
    </row>
    <row r="15" spans="1:31" ht="6" customHeight="1" x14ac:dyDescent="0.25">
      <c r="B15" s="2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"/>
      <c r="Q15" s="16"/>
      <c r="R15" s="16"/>
      <c r="S15" s="16"/>
      <c r="T15" s="16"/>
      <c r="U15" s="16"/>
      <c r="V15" s="16"/>
      <c r="W15" s="16"/>
      <c r="X15" s="2"/>
      <c r="Y15" s="16"/>
      <c r="Z15" s="16"/>
      <c r="AA15" s="16"/>
      <c r="AB15" s="16"/>
      <c r="AC15" s="16"/>
      <c r="AD15" s="16"/>
      <c r="AE15" s="30"/>
    </row>
    <row r="16" spans="1:31" x14ac:dyDescent="0.25">
      <c r="B16" s="2"/>
      <c r="C16" s="16" t="s">
        <v>5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"/>
      <c r="Q16" s="51">
        <v>3</v>
      </c>
      <c r="R16" s="52"/>
      <c r="S16" s="53"/>
      <c r="T16" s="16" t="s">
        <v>14</v>
      </c>
      <c r="U16" s="16"/>
      <c r="V16" s="16"/>
      <c r="W16" s="16"/>
      <c r="X16" s="2"/>
      <c r="Y16" s="51">
        <v>4.4000000000000004</v>
      </c>
      <c r="Z16" s="52"/>
      <c r="AA16" s="53"/>
      <c r="AB16" s="16" t="s">
        <v>14</v>
      </c>
      <c r="AC16" s="16"/>
      <c r="AD16" s="16"/>
      <c r="AE16" s="30"/>
    </row>
    <row r="17" spans="2:31" ht="6" customHeight="1" x14ac:dyDescent="0.25">
      <c r="B17" s="2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"/>
      <c r="Q17" s="16"/>
      <c r="R17" s="16"/>
      <c r="S17" s="16"/>
      <c r="T17" s="16"/>
      <c r="U17" s="16"/>
      <c r="V17" s="16"/>
      <c r="W17" s="16"/>
      <c r="X17" s="2"/>
      <c r="Y17" s="16"/>
      <c r="Z17" s="16"/>
      <c r="AA17" s="16"/>
      <c r="AB17" s="16"/>
      <c r="AC17" s="16"/>
      <c r="AD17" s="16"/>
      <c r="AE17" s="30"/>
    </row>
    <row r="18" spans="2:31" x14ac:dyDescent="0.25">
      <c r="B18" s="2"/>
      <c r="C18" s="16" t="s">
        <v>59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"/>
      <c r="Q18" s="54">
        <f>Q14*Q16</f>
        <v>37.5</v>
      </c>
      <c r="R18" s="55"/>
      <c r="S18" s="56"/>
      <c r="T18" s="16" t="s">
        <v>15</v>
      </c>
      <c r="U18" s="16"/>
      <c r="V18" s="16"/>
      <c r="W18" s="16"/>
      <c r="X18" s="2"/>
      <c r="Y18" s="54">
        <f>Y14*Y16</f>
        <v>26.400000000000002</v>
      </c>
      <c r="Z18" s="55"/>
      <c r="AA18" s="56"/>
      <c r="AB18" s="16" t="s">
        <v>15</v>
      </c>
      <c r="AC18" s="16"/>
      <c r="AD18" s="16"/>
      <c r="AE18" s="30"/>
    </row>
    <row r="19" spans="2:31" ht="6" customHeight="1" x14ac:dyDescent="0.25">
      <c r="B19" s="2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"/>
      <c r="Q19" s="16"/>
      <c r="R19" s="16"/>
      <c r="S19" s="16"/>
      <c r="T19" s="16"/>
      <c r="U19" s="16"/>
      <c r="V19" s="16"/>
      <c r="W19" s="16"/>
      <c r="X19" s="2"/>
      <c r="Y19" s="16"/>
      <c r="Z19" s="16"/>
      <c r="AA19" s="16"/>
      <c r="AB19" s="16"/>
      <c r="AC19" s="16"/>
      <c r="AD19" s="16"/>
      <c r="AE19" s="30"/>
    </row>
    <row r="20" spans="2:31" x14ac:dyDescent="0.25">
      <c r="B20" s="2"/>
      <c r="C20" s="16" t="s">
        <v>60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"/>
      <c r="Q20" s="51">
        <v>17.260000000000002</v>
      </c>
      <c r="R20" s="52"/>
      <c r="S20" s="53"/>
      <c r="T20" s="16" t="s">
        <v>15</v>
      </c>
      <c r="U20" s="16"/>
      <c r="V20" s="16"/>
      <c r="W20" s="16"/>
      <c r="X20" s="2"/>
      <c r="Y20" s="51">
        <v>16.600000000000001</v>
      </c>
      <c r="Z20" s="52"/>
      <c r="AA20" s="53"/>
      <c r="AB20" s="16" t="s">
        <v>15</v>
      </c>
      <c r="AC20" s="16"/>
      <c r="AD20" s="16"/>
      <c r="AE20" s="30"/>
    </row>
    <row r="21" spans="2:31" ht="6" customHeight="1" x14ac:dyDescent="0.25">
      <c r="B21" s="2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"/>
      <c r="Q21" s="16"/>
      <c r="R21" s="16"/>
      <c r="S21" s="16"/>
      <c r="T21" s="16"/>
      <c r="U21" s="16"/>
      <c r="V21" s="16"/>
      <c r="W21" s="16"/>
      <c r="X21" s="2"/>
      <c r="Y21" s="16"/>
      <c r="Z21" s="16"/>
      <c r="AA21" s="16"/>
      <c r="AB21" s="16"/>
      <c r="AC21" s="16"/>
      <c r="AD21" s="16"/>
      <c r="AE21" s="30"/>
    </row>
    <row r="22" spans="2:31" x14ac:dyDescent="0.25">
      <c r="B22" s="2"/>
      <c r="C22" s="16" t="s">
        <v>6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"/>
      <c r="Q22" s="45">
        <f>IF(Q18&gt;0,Q20/Q18,0)</f>
        <v>0.46026666666666671</v>
      </c>
      <c r="R22" s="46"/>
      <c r="S22" s="47"/>
      <c r="T22" s="16"/>
      <c r="U22" s="16"/>
      <c r="V22" s="16"/>
      <c r="W22" s="16"/>
      <c r="X22" s="2"/>
      <c r="Y22" s="45">
        <f>IF(Y18&gt;0,Y20/Y18,0)</f>
        <v>0.62878787878787878</v>
      </c>
      <c r="Z22" s="46"/>
      <c r="AA22" s="47"/>
      <c r="AB22" s="16"/>
      <c r="AC22" s="16"/>
      <c r="AD22" s="16"/>
      <c r="AE22" s="30"/>
    </row>
    <row r="23" spans="2:31" x14ac:dyDescent="0.25">
      <c r="B23" s="2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30"/>
    </row>
    <row r="24" spans="2:31" x14ac:dyDescent="0.25">
      <c r="B24" s="2"/>
      <c r="C24" s="16" t="s">
        <v>7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45">
        <f>IF(VLOOKUP(G5,tab_type,2,FALSE)=0,Q22,IF(Données!D17&gt;1,1,Données!D17))</f>
        <v>0.46026666666666671</v>
      </c>
      <c r="Z24" s="46"/>
      <c r="AA24" s="47"/>
      <c r="AB24" s="16"/>
      <c r="AC24" s="16"/>
      <c r="AD24" s="16"/>
      <c r="AE24" s="30"/>
    </row>
    <row r="25" spans="2:31" x14ac:dyDescent="0.25">
      <c r="B25" s="2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30"/>
    </row>
    <row r="26" spans="2:31" x14ac:dyDescent="0.25">
      <c r="B26" s="2"/>
      <c r="C26" s="16" t="s">
        <v>8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39">
        <f>IF(Y24&gt;0,VLOOKUP(Données!C14,tab_orientation,3,FALSE),"-")</f>
        <v>0.15</v>
      </c>
      <c r="Z26" s="40"/>
      <c r="AA26" s="41"/>
      <c r="AB26" s="31" t="s">
        <v>50</v>
      </c>
      <c r="AC26" s="16"/>
      <c r="AD26" s="16"/>
      <c r="AE26" s="30"/>
    </row>
    <row r="27" spans="2:31" x14ac:dyDescent="0.25">
      <c r="B27" s="32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33"/>
    </row>
    <row r="29" spans="2:31" x14ac:dyDescent="0.25"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8"/>
    </row>
    <row r="30" spans="2:31" x14ac:dyDescent="0.25">
      <c r="B30" s="2"/>
      <c r="C30" s="29" t="s">
        <v>58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30"/>
    </row>
    <row r="31" spans="2:31" x14ac:dyDescent="0.25">
      <c r="B31" s="2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30"/>
    </row>
    <row r="32" spans="2:31" x14ac:dyDescent="0.25">
      <c r="B32" s="2"/>
      <c r="C32" s="16" t="s">
        <v>10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48">
        <v>0.6</v>
      </c>
      <c r="Z32" s="49"/>
      <c r="AA32" s="50"/>
      <c r="AB32" s="16" t="s">
        <v>16</v>
      </c>
      <c r="AC32" s="16"/>
      <c r="AD32" s="16"/>
      <c r="AE32" s="30"/>
    </row>
    <row r="33" spans="2:31" ht="6" customHeight="1" x14ac:dyDescent="0.25">
      <c r="B33" s="2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30"/>
    </row>
    <row r="34" spans="2:31" x14ac:dyDescent="0.25">
      <c r="B34" s="2"/>
      <c r="C34" s="16" t="s">
        <v>61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48">
        <v>0.18</v>
      </c>
      <c r="Z34" s="49"/>
      <c r="AA34" s="50"/>
      <c r="AB34" s="31" t="s">
        <v>50</v>
      </c>
      <c r="AC34" s="16"/>
      <c r="AD34" s="16"/>
      <c r="AE34" s="30"/>
    </row>
    <row r="35" spans="2:31" ht="6" customHeight="1" x14ac:dyDescent="0.25">
      <c r="B35" s="2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30"/>
    </row>
    <row r="36" spans="2:31" x14ac:dyDescent="0.25">
      <c r="B36" s="2"/>
      <c r="C36" s="16" t="s">
        <v>37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48" t="s">
        <v>64</v>
      </c>
      <c r="Z36" s="49"/>
      <c r="AA36" s="49"/>
      <c r="AB36" s="49"/>
      <c r="AC36" s="50"/>
      <c r="AD36" s="16"/>
      <c r="AE36" s="30"/>
    </row>
    <row r="37" spans="2:31" ht="6" customHeight="1" x14ac:dyDescent="0.25">
      <c r="B37" s="2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30"/>
    </row>
    <row r="38" spans="2:31" x14ac:dyDescent="0.25">
      <c r="B38" s="2"/>
      <c r="C38" s="16" t="s">
        <v>62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42">
        <v>0.06</v>
      </c>
      <c r="Z38" s="43"/>
      <c r="AA38" s="44"/>
      <c r="AB38" s="16"/>
      <c r="AC38" s="16"/>
      <c r="AD38" s="16"/>
      <c r="AE38" s="30"/>
    </row>
    <row r="39" spans="2:31" ht="6" customHeight="1" x14ac:dyDescent="0.25">
      <c r="B39" s="2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30"/>
    </row>
    <row r="40" spans="2:31" x14ac:dyDescent="0.25">
      <c r="B40" s="2"/>
      <c r="C40" s="16" t="s">
        <v>63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42">
        <v>0.69</v>
      </c>
      <c r="Z40" s="43"/>
      <c r="AA40" s="44"/>
      <c r="AB40" s="16"/>
      <c r="AC40" s="16"/>
      <c r="AD40" s="16"/>
      <c r="AE40" s="30"/>
    </row>
    <row r="41" spans="2:31" ht="6" customHeight="1" x14ac:dyDescent="0.25">
      <c r="B41" s="2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30"/>
    </row>
    <row r="42" spans="2:31" x14ac:dyDescent="0.25">
      <c r="B42" s="2"/>
      <c r="C42" s="16" t="s">
        <v>49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45">
        <f>1-Y38-Y40</f>
        <v>0.25</v>
      </c>
      <c r="Z42" s="46"/>
      <c r="AA42" s="47"/>
      <c r="AB42" s="16"/>
      <c r="AC42" s="16"/>
      <c r="AD42" s="16"/>
      <c r="AE42" s="30"/>
    </row>
    <row r="43" spans="2:31" ht="6" customHeight="1" x14ac:dyDescent="0.25">
      <c r="B43" s="2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30"/>
    </row>
    <row r="44" spans="2:31" x14ac:dyDescent="0.25">
      <c r="B44" s="2"/>
      <c r="C44" s="16" t="s">
        <v>11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36" t="str">
        <f>VLOOKUP(Y36,tab_position,2,FALSE)</f>
        <v>-</v>
      </c>
      <c r="Z44" s="37"/>
      <c r="AA44" s="38"/>
      <c r="AB44" s="16" t="s">
        <v>16</v>
      </c>
      <c r="AC44" s="16"/>
      <c r="AD44" s="16"/>
      <c r="AE44" s="30"/>
    </row>
    <row r="45" spans="2:31" ht="6" customHeight="1" x14ac:dyDescent="0.25">
      <c r="B45" s="2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30"/>
    </row>
    <row r="46" spans="2:31" x14ac:dyDescent="0.25">
      <c r="B46" s="2"/>
      <c r="C46" s="16" t="s">
        <v>12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36" t="str">
        <f>VLOOKUP(Y36,tab_position,3,FALSE)</f>
        <v>-</v>
      </c>
      <c r="Z46" s="37"/>
      <c r="AA46" s="38"/>
      <c r="AB46" s="16" t="s">
        <v>16</v>
      </c>
      <c r="AC46" s="16"/>
      <c r="AD46" s="16"/>
      <c r="AE46" s="30"/>
    </row>
    <row r="47" spans="2:31" ht="6" customHeight="1" x14ac:dyDescent="0.25">
      <c r="B47" s="2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30"/>
    </row>
    <row r="48" spans="2:31" x14ac:dyDescent="0.25">
      <c r="B48" s="2"/>
      <c r="C48" s="16" t="s">
        <v>54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36" t="str">
        <f>VLOOKUP(Y36,tab_position,4,FALSE)</f>
        <v>-</v>
      </c>
      <c r="Z48" s="37"/>
      <c r="AA48" s="38"/>
      <c r="AB48" s="16" t="s">
        <v>16</v>
      </c>
      <c r="AC48" s="16"/>
      <c r="AD48" s="16"/>
      <c r="AE48" s="30"/>
    </row>
    <row r="49" spans="2:31" ht="6" customHeight="1" x14ac:dyDescent="0.25">
      <c r="B49" s="2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30"/>
    </row>
    <row r="50" spans="2:31" x14ac:dyDescent="0.25">
      <c r="B50" s="2"/>
      <c r="C50" s="16" t="s">
        <v>13</v>
      </c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36" t="str">
        <f>VLOOKUP(Y36,tab_position,5,FALSE)</f>
        <v>-</v>
      </c>
      <c r="Z50" s="37"/>
      <c r="AA50" s="38"/>
      <c r="AB50" s="16" t="s">
        <v>16</v>
      </c>
      <c r="AC50" s="16"/>
      <c r="AD50" s="16"/>
      <c r="AE50" s="30"/>
    </row>
    <row r="51" spans="2:31" x14ac:dyDescent="0.25">
      <c r="B51" s="2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30"/>
    </row>
    <row r="52" spans="2:31" x14ac:dyDescent="0.25">
      <c r="B52" s="2"/>
      <c r="C52" s="16" t="s">
        <v>57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39">
        <f>VLOOKUP(Y36,tab_position,6,FALSE)</f>
        <v>0.18</v>
      </c>
      <c r="Z52" s="40"/>
      <c r="AA52" s="41"/>
      <c r="AB52" s="16"/>
      <c r="AC52" s="16"/>
      <c r="AD52" s="16"/>
      <c r="AE52" s="30"/>
    </row>
    <row r="53" spans="2:31" x14ac:dyDescent="0.25">
      <c r="B53" s="32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33"/>
    </row>
  </sheetData>
  <mergeCells count="28">
    <mergeCell ref="AC12:AD12"/>
    <mergeCell ref="Q14:S14"/>
    <mergeCell ref="Q16:S16"/>
    <mergeCell ref="Q18:S18"/>
    <mergeCell ref="Q20:S20"/>
    <mergeCell ref="Y20:AA20"/>
    <mergeCell ref="Y22:AA22"/>
    <mergeCell ref="Q12:S12"/>
    <mergeCell ref="U12:V12"/>
    <mergeCell ref="Q22:S22"/>
    <mergeCell ref="G5:P5"/>
    <mergeCell ref="Y12:AA12"/>
    <mergeCell ref="Y14:AA14"/>
    <mergeCell ref="Y16:AA16"/>
    <mergeCell ref="Y18:AA18"/>
    <mergeCell ref="Y36:AC36"/>
    <mergeCell ref="Y24:AA24"/>
    <mergeCell ref="Y26:AA26"/>
    <mergeCell ref="Y32:AA32"/>
    <mergeCell ref="Y34:AA34"/>
    <mergeCell ref="Y46:AA46"/>
    <mergeCell ref="Y48:AA48"/>
    <mergeCell ref="Y50:AA50"/>
    <mergeCell ref="Y52:AA52"/>
    <mergeCell ref="Y38:AA38"/>
    <mergeCell ref="Y40:AA40"/>
    <mergeCell ref="Y42:AA42"/>
    <mergeCell ref="Y44:AA44"/>
  </mergeCells>
  <dataValidations count="3">
    <dataValidation type="list" allowBlank="1" showInputMessage="1" showErrorMessage="1" sqref="Q12:S12 Y12:AA12" xr:uid="{00000000-0002-0000-0000-000000000000}">
      <formula1>list_orientation</formula1>
    </dataValidation>
    <dataValidation type="list" allowBlank="1" showInputMessage="1" showErrorMessage="1" sqref="G5" xr:uid="{00000000-0002-0000-0000-000001000000}">
      <formula1>list_type</formula1>
    </dataValidation>
    <dataValidation type="list" allowBlank="1" showInputMessage="1" showErrorMessage="1" sqref="Y36" xr:uid="{00000000-0002-0000-0000-000002000000}">
      <formula1>list_position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D17"/>
  <sheetViews>
    <sheetView workbookViewId="0">
      <selection activeCell="H13" sqref="H13"/>
    </sheetView>
  </sheetViews>
  <sheetFormatPr defaultColWidth="11.42578125" defaultRowHeight="15" x14ac:dyDescent="0.25"/>
  <cols>
    <col min="2" max="2" width="27.140625" bestFit="1" customWidth="1"/>
    <col min="5" max="5" width="16.140625" bestFit="1" customWidth="1"/>
    <col min="6" max="8" width="3.28515625" bestFit="1" customWidth="1"/>
  </cols>
  <sheetData>
    <row r="1" spans="2:30" x14ac:dyDescent="0.25">
      <c r="B1" s="9" t="s">
        <v>1</v>
      </c>
      <c r="C1" s="10" t="s">
        <v>36</v>
      </c>
      <c r="E1" s="9" t="s">
        <v>37</v>
      </c>
      <c r="F1" s="20" t="s">
        <v>11</v>
      </c>
      <c r="G1" s="20" t="s">
        <v>12</v>
      </c>
      <c r="H1" s="20" t="s">
        <v>54</v>
      </c>
      <c r="I1" s="21" t="s">
        <v>13</v>
      </c>
      <c r="J1" s="22" t="s">
        <v>55</v>
      </c>
      <c r="L1" s="6" t="s">
        <v>3</v>
      </c>
      <c r="M1" s="6" t="s">
        <v>17</v>
      </c>
      <c r="N1" s="6" t="s">
        <v>35</v>
      </c>
      <c r="O1" s="7" t="s">
        <v>18</v>
      </c>
      <c r="P1" s="7" t="s">
        <v>40</v>
      </c>
      <c r="Q1" s="7" t="s">
        <v>41</v>
      </c>
      <c r="R1" s="7" t="s">
        <v>42</v>
      </c>
      <c r="S1" s="7" t="s">
        <v>43</v>
      </c>
      <c r="T1" s="7" t="s">
        <v>44</v>
      </c>
      <c r="U1" s="7" t="s">
        <v>45</v>
      </c>
      <c r="V1" s="7" t="s">
        <v>46</v>
      </c>
      <c r="W1" s="7" t="s">
        <v>19</v>
      </c>
      <c r="X1" s="7" t="s">
        <v>28</v>
      </c>
      <c r="Y1" s="7" t="s">
        <v>29</v>
      </c>
      <c r="Z1" s="7" t="s">
        <v>30</v>
      </c>
      <c r="AA1" s="7" t="s">
        <v>20</v>
      </c>
      <c r="AB1" s="7" t="s">
        <v>31</v>
      </c>
      <c r="AC1" s="7" t="s">
        <v>32</v>
      </c>
      <c r="AD1" s="7" t="s">
        <v>33</v>
      </c>
    </row>
    <row r="2" spans="2:30" x14ac:dyDescent="0.25">
      <c r="B2" s="11" t="s">
        <v>34</v>
      </c>
      <c r="C2" s="12">
        <v>0</v>
      </c>
      <c r="E2" s="11" t="s">
        <v>51</v>
      </c>
      <c r="F2" s="23">
        <v>5</v>
      </c>
      <c r="G2" s="23">
        <v>10</v>
      </c>
      <c r="H2" s="24" t="s">
        <v>50</v>
      </c>
      <c r="I2" s="16">
        <f>(1/Calcul!Y32+1/Données!F2+1/Données!G2)^(-1)</f>
        <v>0.50847457627118642</v>
      </c>
      <c r="J2" s="12" t="e">
        <f>Calcul!Y38*Calcul!Y34+Calcul!Y42*(Calcul!Y50/Calcul!Y46)+Calcul!Y38*(1-Calcul!Y34)*(Calcul!Y50/Calcul!Y44)</f>
        <v>#VALUE!</v>
      </c>
      <c r="L2" t="s">
        <v>18</v>
      </c>
      <c r="M2" s="3">
        <v>0</v>
      </c>
      <c r="N2">
        <f>MIN(0.07/Calcul!$Y$24,0.15)</f>
        <v>0.15</v>
      </c>
      <c r="O2" s="1">
        <v>1</v>
      </c>
      <c r="P2" s="1">
        <v>1</v>
      </c>
      <c r="Q2" s="1">
        <v>1</v>
      </c>
      <c r="R2" s="1">
        <v>1</v>
      </c>
      <c r="S2" s="1">
        <v>1</v>
      </c>
      <c r="T2" s="1">
        <v>0.77</v>
      </c>
      <c r="U2" s="1">
        <v>0.54</v>
      </c>
      <c r="V2" s="1">
        <v>0.44500000000000001</v>
      </c>
      <c r="W2" s="1">
        <v>0.35</v>
      </c>
      <c r="X2" s="1">
        <v>0.44500000000000001</v>
      </c>
      <c r="Y2" s="1">
        <v>0.54</v>
      </c>
      <c r="Z2" s="1">
        <v>0.77</v>
      </c>
      <c r="AA2" s="1">
        <v>1</v>
      </c>
      <c r="AB2" s="1">
        <v>1</v>
      </c>
      <c r="AC2" s="1">
        <v>1</v>
      </c>
      <c r="AD2" s="1">
        <v>1</v>
      </c>
    </row>
    <row r="3" spans="2:30" ht="15.75" thickBot="1" x14ac:dyDescent="0.3">
      <c r="B3" s="13" t="s">
        <v>56</v>
      </c>
      <c r="C3" s="14">
        <v>1</v>
      </c>
      <c r="E3" s="11" t="s">
        <v>52</v>
      </c>
      <c r="F3" s="24" t="s">
        <v>50</v>
      </c>
      <c r="G3" s="23">
        <v>30</v>
      </c>
      <c r="H3" s="24" t="s">
        <v>50</v>
      </c>
      <c r="I3" s="16">
        <f>(1/Calcul!Y32+1/Données!G3)^(-1)</f>
        <v>0.58823529411764697</v>
      </c>
      <c r="J3" s="12" t="e">
        <f>Calcul!Y34*(1-Calcul!Y34*Calcul!Y40-Calcul!Y42*(Calcul!Y50/Calcul!Y46))</f>
        <v>#VALUE!</v>
      </c>
      <c r="L3" t="s">
        <v>40</v>
      </c>
      <c r="M3" s="3">
        <v>22.5</v>
      </c>
      <c r="N3">
        <f>MIN(0.07/Calcul!$Y$24,0.15)</f>
        <v>0.15</v>
      </c>
      <c r="O3" s="1">
        <v>1</v>
      </c>
      <c r="P3" s="1">
        <v>1</v>
      </c>
      <c r="Q3" s="1">
        <v>1</v>
      </c>
      <c r="R3" s="1">
        <v>1</v>
      </c>
      <c r="S3" s="1">
        <v>1</v>
      </c>
      <c r="T3" s="1">
        <v>0.77</v>
      </c>
      <c r="U3" s="1">
        <v>0.54</v>
      </c>
      <c r="V3" s="1">
        <v>0.44500000000000001</v>
      </c>
      <c r="W3" s="1">
        <v>0.35</v>
      </c>
      <c r="X3" s="1">
        <v>0.44500000000000001</v>
      </c>
      <c r="Y3" s="1">
        <v>0.54</v>
      </c>
      <c r="Z3" s="1">
        <v>0.77</v>
      </c>
      <c r="AA3" s="1">
        <v>1</v>
      </c>
      <c r="AB3" s="1">
        <v>1</v>
      </c>
      <c r="AC3" s="1">
        <v>1</v>
      </c>
      <c r="AD3" s="1">
        <v>1</v>
      </c>
    </row>
    <row r="4" spans="2:30" x14ac:dyDescent="0.25">
      <c r="E4" s="11" t="s">
        <v>53</v>
      </c>
      <c r="F4" s="24" t="s">
        <v>50</v>
      </c>
      <c r="G4" s="24" t="s">
        <v>50</v>
      </c>
      <c r="H4" s="23">
        <v>3</v>
      </c>
      <c r="I4" s="16">
        <f>(1/Calcul!Y32+1/Données!H4)^(-1)</f>
        <v>0.5</v>
      </c>
      <c r="J4" s="12" t="e">
        <f>Calcul!Y34*Calcul!Y38+Calcul!Y34*(Calcul!Y42+(1-Calcul!Y34)*Calcul!Y40)*(Calcul!Y50/Calcul!Y48)</f>
        <v>#VALUE!</v>
      </c>
      <c r="L4" t="s">
        <v>41</v>
      </c>
      <c r="M4" s="3">
        <v>45</v>
      </c>
      <c r="N4">
        <f>MIN(0.07/Calcul!$Y$24,0.15)</f>
        <v>0.15</v>
      </c>
      <c r="O4" s="1">
        <v>1</v>
      </c>
      <c r="P4" s="1">
        <v>1</v>
      </c>
      <c r="Q4" s="1">
        <v>1</v>
      </c>
      <c r="R4" s="1">
        <v>1</v>
      </c>
      <c r="S4" s="1">
        <v>1</v>
      </c>
      <c r="T4" s="1">
        <v>0.77</v>
      </c>
      <c r="U4" s="1">
        <v>0.54</v>
      </c>
      <c r="V4" s="1">
        <v>0.44500000000000001</v>
      </c>
      <c r="W4" s="1">
        <v>0.35</v>
      </c>
      <c r="X4" s="1">
        <v>0.44500000000000001</v>
      </c>
      <c r="Y4" s="1">
        <v>0.54</v>
      </c>
      <c r="Z4" s="1">
        <v>0.77</v>
      </c>
      <c r="AA4" s="1">
        <v>1</v>
      </c>
      <c r="AB4" s="1">
        <v>1</v>
      </c>
      <c r="AC4" s="1">
        <v>1</v>
      </c>
      <c r="AD4" s="1">
        <v>1</v>
      </c>
    </row>
    <row r="5" spans="2:30" ht="15.75" thickBot="1" x14ac:dyDescent="0.3">
      <c r="E5" s="35" t="s">
        <v>64</v>
      </c>
      <c r="F5" s="25" t="s">
        <v>50</v>
      </c>
      <c r="G5" s="25" t="s">
        <v>50</v>
      </c>
      <c r="H5" s="25" t="s">
        <v>50</v>
      </c>
      <c r="I5" s="25" t="s">
        <v>50</v>
      </c>
      <c r="J5" s="14">
        <f>Calcul!Y34</f>
        <v>0.18</v>
      </c>
      <c r="L5" t="s">
        <v>42</v>
      </c>
      <c r="M5" s="3">
        <v>67.5</v>
      </c>
      <c r="N5">
        <f>MIN(0.07/Calcul!$Y$24,0.15)</f>
        <v>0.15</v>
      </c>
      <c r="O5" s="1">
        <v>1</v>
      </c>
      <c r="P5" s="1">
        <v>1</v>
      </c>
      <c r="Q5" s="1">
        <v>1</v>
      </c>
      <c r="R5" s="1">
        <v>1</v>
      </c>
      <c r="S5" s="1">
        <v>1</v>
      </c>
      <c r="T5" s="1">
        <v>0.77</v>
      </c>
      <c r="U5" s="1">
        <v>0.54</v>
      </c>
      <c r="V5" s="1">
        <v>0.44500000000000001</v>
      </c>
      <c r="W5" s="1">
        <v>0.35</v>
      </c>
      <c r="X5" s="1">
        <v>0.44500000000000001</v>
      </c>
      <c r="Y5" s="1">
        <v>0.54</v>
      </c>
      <c r="Z5" s="1">
        <v>0.77</v>
      </c>
      <c r="AA5" s="1">
        <v>1</v>
      </c>
      <c r="AB5" s="1">
        <v>1</v>
      </c>
      <c r="AC5" s="1">
        <v>1</v>
      </c>
      <c r="AD5" s="1">
        <v>1</v>
      </c>
    </row>
    <row r="6" spans="2:30" x14ac:dyDescent="0.25">
      <c r="L6" t="s">
        <v>43</v>
      </c>
      <c r="M6" s="3">
        <v>90</v>
      </c>
      <c r="N6">
        <f>MIN(0.07/Calcul!$Y$24,0.15)</f>
        <v>0.15</v>
      </c>
      <c r="O6" s="1">
        <v>1</v>
      </c>
      <c r="P6" s="1">
        <v>1</v>
      </c>
      <c r="Q6" s="1">
        <v>1</v>
      </c>
      <c r="R6" s="1">
        <v>1</v>
      </c>
      <c r="S6" s="1">
        <v>1</v>
      </c>
      <c r="T6" s="1">
        <v>0.77</v>
      </c>
      <c r="U6" s="1">
        <v>0.54</v>
      </c>
      <c r="V6" s="1">
        <v>0.44500000000000001</v>
      </c>
      <c r="W6" s="1">
        <v>0.35</v>
      </c>
      <c r="X6" s="1">
        <v>0.44500000000000001</v>
      </c>
      <c r="Y6" s="1">
        <v>0.54</v>
      </c>
      <c r="Z6" s="1">
        <v>0.77</v>
      </c>
      <c r="AA6" s="1">
        <v>1</v>
      </c>
      <c r="AB6" s="1">
        <v>1</v>
      </c>
      <c r="AC6" s="1">
        <v>1</v>
      </c>
      <c r="AD6" s="1">
        <v>1</v>
      </c>
    </row>
    <row r="7" spans="2:30" x14ac:dyDescent="0.25">
      <c r="L7" t="s">
        <v>44</v>
      </c>
      <c r="M7" s="3">
        <v>102.5</v>
      </c>
      <c r="N7" s="4">
        <f>MIN(0.1/Calcul!$Y$24,0.215)</f>
        <v>0.215</v>
      </c>
      <c r="O7" s="8">
        <f>(O6+O8)/2</f>
        <v>1.4300000000000002</v>
      </c>
      <c r="P7" s="8">
        <f t="shared" ref="P7:AD7" si="0">(P6+P8)/2</f>
        <v>1.4300000000000002</v>
      </c>
      <c r="Q7" s="8">
        <f t="shared" si="0"/>
        <v>1.4300000000000002</v>
      </c>
      <c r="R7" s="8">
        <f t="shared" si="0"/>
        <v>1.4300000000000002</v>
      </c>
      <c r="S7" s="8">
        <f t="shared" si="0"/>
        <v>1.4300000000000002</v>
      </c>
      <c r="T7" s="8">
        <f t="shared" si="0"/>
        <v>1.1000000000000001</v>
      </c>
      <c r="U7" s="8">
        <f t="shared" si="0"/>
        <v>0.77</v>
      </c>
      <c r="V7" s="8">
        <f t="shared" si="0"/>
        <v>0.63500000000000001</v>
      </c>
      <c r="W7" s="8">
        <f t="shared" si="0"/>
        <v>0.5</v>
      </c>
      <c r="X7" s="8">
        <f t="shared" si="0"/>
        <v>0.63500000000000001</v>
      </c>
      <c r="Y7" s="8">
        <f t="shared" si="0"/>
        <v>0.77</v>
      </c>
      <c r="Z7" s="8">
        <f t="shared" si="0"/>
        <v>1.1000000000000001</v>
      </c>
      <c r="AA7" s="8">
        <f t="shared" si="0"/>
        <v>1.4300000000000002</v>
      </c>
      <c r="AB7" s="8">
        <f t="shared" si="0"/>
        <v>1.4300000000000002</v>
      </c>
      <c r="AC7" s="8">
        <f t="shared" si="0"/>
        <v>1.4300000000000002</v>
      </c>
      <c r="AD7" s="8">
        <f t="shared" si="0"/>
        <v>1.4300000000000002</v>
      </c>
    </row>
    <row r="8" spans="2:30" x14ac:dyDescent="0.25">
      <c r="L8" t="s">
        <v>45</v>
      </c>
      <c r="M8" s="3">
        <v>135</v>
      </c>
      <c r="N8">
        <f>MIN(0.13/Calcul!$Y$24,0.28)</f>
        <v>0.28000000000000003</v>
      </c>
      <c r="O8" s="1">
        <v>1.86</v>
      </c>
      <c r="P8" s="1">
        <v>1.86</v>
      </c>
      <c r="Q8" s="1">
        <v>1.86</v>
      </c>
      <c r="R8" s="1">
        <v>1.86</v>
      </c>
      <c r="S8" s="1">
        <v>1.86</v>
      </c>
      <c r="T8" s="1">
        <v>1.43</v>
      </c>
      <c r="U8" s="1">
        <v>1</v>
      </c>
      <c r="V8" s="1">
        <v>0.82499999999999996</v>
      </c>
      <c r="W8" s="1">
        <v>0.65</v>
      </c>
      <c r="X8" s="1">
        <v>0.82499999999999996</v>
      </c>
      <c r="Y8" s="1">
        <v>1</v>
      </c>
      <c r="Z8" s="1">
        <v>1.43</v>
      </c>
      <c r="AA8" s="1">
        <v>1.86</v>
      </c>
      <c r="AB8" s="1">
        <v>1.86</v>
      </c>
      <c r="AC8" s="1">
        <v>1.86</v>
      </c>
      <c r="AD8" s="1">
        <v>1.86</v>
      </c>
    </row>
    <row r="9" spans="2:30" x14ac:dyDescent="0.25">
      <c r="L9" t="s">
        <v>46</v>
      </c>
      <c r="M9" s="3">
        <v>157.5</v>
      </c>
      <c r="N9" s="4">
        <f>MIN(0.165/Calcul!$Y$24,0.605)</f>
        <v>0.35848783314020854</v>
      </c>
      <c r="O9" s="8">
        <f>(O8+O10)/2</f>
        <v>2.36</v>
      </c>
      <c r="P9" s="8">
        <f t="shared" ref="P9" si="1">(P8+P10)/2</f>
        <v>2.36</v>
      </c>
      <c r="Q9" s="8">
        <f t="shared" ref="Q9" si="2">(Q8+Q10)/2</f>
        <v>2.36</v>
      </c>
      <c r="R9" s="8">
        <f t="shared" ref="R9" si="3">(R8+R10)/2</f>
        <v>2.36</v>
      </c>
      <c r="S9" s="8">
        <f t="shared" ref="S9" si="4">(S8+S10)/2</f>
        <v>2.36</v>
      </c>
      <c r="T9" s="8">
        <f t="shared" ref="T9" si="5">(T8+T10)/2</f>
        <v>1.8149999999999999</v>
      </c>
      <c r="U9" s="8">
        <f t="shared" ref="U9" si="6">(U8+U10)/2</f>
        <v>1.27</v>
      </c>
      <c r="V9" s="8">
        <f t="shared" ref="V9" si="7">(V8+V10)/2</f>
        <v>0.79749999999999999</v>
      </c>
      <c r="W9" s="8">
        <f t="shared" ref="W9" si="8">(W8+W10)/2</f>
        <v>0.32500000000000001</v>
      </c>
      <c r="X9" s="8">
        <f t="shared" ref="X9" si="9">(X8+X10)/2</f>
        <v>0.79749999999999999</v>
      </c>
      <c r="Y9" s="8">
        <f t="shared" ref="Y9" si="10">(Y8+Y10)/2</f>
        <v>1.27</v>
      </c>
      <c r="Z9" s="8">
        <f t="shared" ref="Z9" si="11">(Z8+Z10)/2</f>
        <v>1.8149999999999999</v>
      </c>
      <c r="AA9" s="8">
        <f t="shared" ref="AA9" si="12">(AA8+AA10)/2</f>
        <v>2.36</v>
      </c>
      <c r="AB9" s="8">
        <f t="shared" ref="AB9" si="13">(AB8+AB10)/2</f>
        <v>2.36</v>
      </c>
      <c r="AC9" s="8">
        <f t="shared" ref="AC9" si="14">(AC8+AC10)/2</f>
        <v>2.36</v>
      </c>
      <c r="AD9" s="8">
        <f t="shared" ref="AD9" si="15">(AD8+AD10)/2</f>
        <v>2.36</v>
      </c>
    </row>
    <row r="10" spans="2:30" x14ac:dyDescent="0.25">
      <c r="L10" t="s">
        <v>19</v>
      </c>
      <c r="M10" s="3">
        <v>180</v>
      </c>
      <c r="N10">
        <f>MIN(0.2/Calcul!$Y$24,1)</f>
        <v>0.43453070683661643</v>
      </c>
      <c r="O10" s="1">
        <v>2.86</v>
      </c>
      <c r="P10" s="1">
        <v>2.86</v>
      </c>
      <c r="Q10" s="1">
        <v>2.86</v>
      </c>
      <c r="R10" s="1">
        <v>2.86</v>
      </c>
      <c r="S10" s="1">
        <v>2.86</v>
      </c>
      <c r="T10" s="1">
        <v>2.2000000000000002</v>
      </c>
      <c r="U10" s="1">
        <v>1.54</v>
      </c>
      <c r="V10" s="1">
        <v>0.77</v>
      </c>
      <c r="W10" s="1">
        <v>0</v>
      </c>
      <c r="X10" s="1">
        <v>0.77</v>
      </c>
      <c r="Y10" s="1">
        <v>1.54</v>
      </c>
      <c r="Z10" s="1">
        <v>2.2000000000000002</v>
      </c>
      <c r="AA10" s="1">
        <v>2.86</v>
      </c>
      <c r="AB10" s="1">
        <v>2.86</v>
      </c>
      <c r="AC10" s="1">
        <v>2.86</v>
      </c>
      <c r="AD10" s="1">
        <v>2.86</v>
      </c>
    </row>
    <row r="11" spans="2:30" x14ac:dyDescent="0.25">
      <c r="L11" t="s">
        <v>28</v>
      </c>
      <c r="M11" s="3" t="s">
        <v>21</v>
      </c>
      <c r="N11" s="4">
        <f>MIN(0.165/Calcul!$Y$24,0.605)</f>
        <v>0.35848783314020854</v>
      </c>
      <c r="O11" s="8">
        <f>(O10+O12)/2</f>
        <v>2.36</v>
      </c>
      <c r="P11" s="8">
        <f t="shared" ref="P11" si="16">(P10+P12)/2</f>
        <v>2.36</v>
      </c>
      <c r="Q11" s="8">
        <f t="shared" ref="Q11" si="17">(Q10+Q12)/2</f>
        <v>2.36</v>
      </c>
      <c r="R11" s="8">
        <f t="shared" ref="R11" si="18">(R10+R12)/2</f>
        <v>2.36</v>
      </c>
      <c r="S11" s="8">
        <f t="shared" ref="S11" si="19">(S10+S12)/2</f>
        <v>2.36</v>
      </c>
      <c r="T11" s="8">
        <f t="shared" ref="T11" si="20">(T10+T12)/2</f>
        <v>1.8149999999999999</v>
      </c>
      <c r="U11" s="8">
        <f t="shared" ref="U11" si="21">(U10+U12)/2</f>
        <v>1.27</v>
      </c>
      <c r="V11" s="8">
        <f t="shared" ref="V11" si="22">(V10+V12)/2</f>
        <v>0.79749999999999999</v>
      </c>
      <c r="W11" s="8">
        <f t="shared" ref="W11" si="23">(W10+W12)/2</f>
        <v>0.32500000000000001</v>
      </c>
      <c r="X11" s="8">
        <f t="shared" ref="X11" si="24">(X10+X12)/2</f>
        <v>0.79749999999999999</v>
      </c>
      <c r="Y11" s="8">
        <f t="shared" ref="Y11" si="25">(Y10+Y12)/2</f>
        <v>1.27</v>
      </c>
      <c r="Z11" s="8">
        <f t="shared" ref="Z11" si="26">(Z10+Z12)/2</f>
        <v>1.8149999999999999</v>
      </c>
      <c r="AA11" s="8">
        <f t="shared" ref="AA11" si="27">(AA10+AA12)/2</f>
        <v>2.36</v>
      </c>
      <c r="AB11" s="8">
        <f t="shared" ref="AB11" si="28">(AB10+AB12)/2</f>
        <v>2.36</v>
      </c>
      <c r="AC11" s="8">
        <f t="shared" ref="AC11" si="29">(AC10+AC12)/2</f>
        <v>2.36</v>
      </c>
      <c r="AD11" s="8">
        <f t="shared" ref="AD11" si="30">(AD10+AD12)/2</f>
        <v>2.36</v>
      </c>
    </row>
    <row r="12" spans="2:30" ht="15.75" thickBot="1" x14ac:dyDescent="0.3">
      <c r="L12" t="s">
        <v>29</v>
      </c>
      <c r="M12" s="3" t="s">
        <v>22</v>
      </c>
      <c r="N12">
        <f>MIN(0.13/Calcul!$Y$24,0.28)</f>
        <v>0.28000000000000003</v>
      </c>
      <c r="O12" s="1">
        <v>1.86</v>
      </c>
      <c r="P12" s="1">
        <v>1.86</v>
      </c>
      <c r="Q12" s="1">
        <v>1.86</v>
      </c>
      <c r="R12" s="1">
        <v>1.86</v>
      </c>
      <c r="S12" s="1">
        <v>1.86</v>
      </c>
      <c r="T12" s="1">
        <v>1.43</v>
      </c>
      <c r="U12" s="1">
        <v>1</v>
      </c>
      <c r="V12" s="1">
        <v>0.82499999999999996</v>
      </c>
      <c r="W12" s="1">
        <v>0.65</v>
      </c>
      <c r="X12" s="1">
        <v>0.82499999999999996</v>
      </c>
      <c r="Y12" s="1">
        <v>1</v>
      </c>
      <c r="Z12" s="1">
        <v>1.43</v>
      </c>
      <c r="AA12" s="1">
        <v>1.86</v>
      </c>
      <c r="AB12" s="1">
        <v>1.86</v>
      </c>
      <c r="AC12" s="1">
        <v>1.86</v>
      </c>
      <c r="AD12" s="1">
        <v>1.86</v>
      </c>
    </row>
    <row r="13" spans="2:30" x14ac:dyDescent="0.25">
      <c r="B13" s="9"/>
      <c r="C13" s="15" t="s">
        <v>38</v>
      </c>
      <c r="D13" s="10" t="s">
        <v>39</v>
      </c>
      <c r="L13" t="s">
        <v>30</v>
      </c>
      <c r="M13" s="3" t="s">
        <v>23</v>
      </c>
      <c r="N13" s="4">
        <f>MIN(0.1/Calcul!$Y$24,0.215)</f>
        <v>0.215</v>
      </c>
      <c r="O13" s="8">
        <f>(O12+O14)/2</f>
        <v>1.4300000000000002</v>
      </c>
      <c r="P13" s="8">
        <f t="shared" ref="P13" si="31">(P12+P14)/2</f>
        <v>1.4300000000000002</v>
      </c>
      <c r="Q13" s="8">
        <f t="shared" ref="Q13" si="32">(Q12+Q14)/2</f>
        <v>1.4300000000000002</v>
      </c>
      <c r="R13" s="8">
        <f t="shared" ref="R13" si="33">(R12+R14)/2</f>
        <v>1.4300000000000002</v>
      </c>
      <c r="S13" s="8">
        <f t="shared" ref="S13" si="34">(S12+S14)/2</f>
        <v>1.4300000000000002</v>
      </c>
      <c r="T13" s="8">
        <f t="shared" ref="T13" si="35">(T12+T14)/2</f>
        <v>1.1000000000000001</v>
      </c>
      <c r="U13" s="8">
        <f t="shared" ref="U13" si="36">(U12+U14)/2</f>
        <v>0.77</v>
      </c>
      <c r="V13" s="8">
        <f t="shared" ref="V13" si="37">(V12+V14)/2</f>
        <v>0.63500000000000001</v>
      </c>
      <c r="W13" s="8">
        <f t="shared" ref="W13" si="38">(W12+W14)/2</f>
        <v>0.5</v>
      </c>
      <c r="X13" s="8">
        <f t="shared" ref="X13" si="39">(X12+X14)/2</f>
        <v>0.63500000000000001</v>
      </c>
      <c r="Y13" s="8">
        <f t="shared" ref="Y13" si="40">(Y12+Y14)/2</f>
        <v>0.77</v>
      </c>
      <c r="Z13" s="8">
        <f t="shared" ref="Z13" si="41">(Z12+Z14)/2</f>
        <v>1.1000000000000001</v>
      </c>
      <c r="AA13" s="8">
        <f t="shared" ref="AA13" si="42">(AA12+AA14)/2</f>
        <v>1.4300000000000002</v>
      </c>
      <c r="AB13" s="8">
        <f t="shared" ref="AB13" si="43">(AB12+AB14)/2</f>
        <v>1.4300000000000002</v>
      </c>
      <c r="AC13" s="8">
        <f t="shared" ref="AC13" si="44">(AC12+AC14)/2</f>
        <v>1.4300000000000002</v>
      </c>
      <c r="AD13" s="8">
        <f t="shared" ref="AD13" si="45">(AD12+AD14)/2</f>
        <v>1.4300000000000002</v>
      </c>
    </row>
    <row r="14" spans="2:30" x14ac:dyDescent="0.25">
      <c r="B14" s="11"/>
      <c r="C14" s="16" t="str">
        <f>IF(Calcul!Q20&gt;Calcul!Y20,Calcul!Q12,Calcul!Y12)</f>
        <v>S</v>
      </c>
      <c r="D14" s="12" t="str">
        <f>IF(Calcul!Q20&gt;Calcul!Y20,Calcul!Y12,Calcul!Q12)</f>
        <v>E</v>
      </c>
      <c r="L14" t="s">
        <v>20</v>
      </c>
      <c r="M14" s="3" t="s">
        <v>24</v>
      </c>
      <c r="N14">
        <f>MIN(0.07/Calcul!$Y$24,0.15)</f>
        <v>0.15</v>
      </c>
      <c r="O14" s="1">
        <v>1</v>
      </c>
      <c r="P14" s="1">
        <v>1</v>
      </c>
      <c r="Q14" s="1">
        <v>1</v>
      </c>
      <c r="R14" s="1">
        <v>1</v>
      </c>
      <c r="S14" s="1">
        <v>1</v>
      </c>
      <c r="T14" s="1">
        <v>0.77</v>
      </c>
      <c r="U14" s="1">
        <v>0.54</v>
      </c>
      <c r="V14" s="1">
        <v>0.44500000000000001</v>
      </c>
      <c r="W14" s="1">
        <v>0.35</v>
      </c>
      <c r="X14" s="1">
        <v>0.44500000000000001</v>
      </c>
      <c r="Y14" s="1">
        <v>0.54</v>
      </c>
      <c r="Z14" s="1">
        <v>0.77</v>
      </c>
      <c r="AA14" s="1">
        <v>1</v>
      </c>
      <c r="AB14" s="1">
        <v>1</v>
      </c>
      <c r="AC14" s="1">
        <v>1</v>
      </c>
      <c r="AD14" s="1">
        <v>1</v>
      </c>
    </row>
    <row r="15" spans="2:30" x14ac:dyDescent="0.25">
      <c r="B15" s="11" t="s">
        <v>47</v>
      </c>
      <c r="C15" s="16">
        <f>IF(Calcul!Q20&gt;Calcul!Y20,Calcul!Q18,Calcul!Y18)</f>
        <v>37.5</v>
      </c>
      <c r="D15" s="12">
        <f>IF(Calcul!Q20&gt;Calcul!Y20,Calcul!Y14,Calcul!Q14)</f>
        <v>6</v>
      </c>
      <c r="L15" t="s">
        <v>31</v>
      </c>
      <c r="M15" s="3" t="s">
        <v>25</v>
      </c>
      <c r="N15">
        <f>MIN(0.07/Calcul!$Y$24,0.15)</f>
        <v>0.15</v>
      </c>
      <c r="O15" s="1">
        <v>1</v>
      </c>
      <c r="P15" s="1">
        <v>1</v>
      </c>
      <c r="Q15" s="1">
        <v>1</v>
      </c>
      <c r="R15" s="1">
        <v>1</v>
      </c>
      <c r="S15" s="1">
        <v>1</v>
      </c>
      <c r="T15" s="1">
        <v>0.77</v>
      </c>
      <c r="U15" s="1">
        <v>0.54</v>
      </c>
      <c r="V15" s="1">
        <v>0.44500000000000001</v>
      </c>
      <c r="W15" s="1">
        <v>0.35</v>
      </c>
      <c r="X15" s="1">
        <v>0.44500000000000001</v>
      </c>
      <c r="Y15" s="1">
        <v>0.54</v>
      </c>
      <c r="Z15" s="1">
        <v>0.77</v>
      </c>
      <c r="AA15" s="1">
        <v>1</v>
      </c>
      <c r="AB15" s="1">
        <v>1</v>
      </c>
      <c r="AC15" s="1">
        <v>1</v>
      </c>
      <c r="AD15" s="1">
        <v>1</v>
      </c>
    </row>
    <row r="16" spans="2:30" x14ac:dyDescent="0.25">
      <c r="B16" s="17" t="s">
        <v>48</v>
      </c>
      <c r="C16" s="5">
        <f>IF(Calcul!Q20&gt;Calcul!Y20,Calcul!Q20,Calcul!Y20)</f>
        <v>17.260000000000002</v>
      </c>
      <c r="D16" s="18">
        <f>IF(Calcul!Q20&gt;Calcul!Y20,Calcul!Y20,Calcul!Q20)</f>
        <v>16.600000000000001</v>
      </c>
      <c r="L16" t="s">
        <v>32</v>
      </c>
      <c r="M16" s="3" t="s">
        <v>26</v>
      </c>
      <c r="N16">
        <f>MIN(0.07/Calcul!$Y$24,0.15)</f>
        <v>0.15</v>
      </c>
      <c r="O16" s="1">
        <v>1</v>
      </c>
      <c r="P16" s="1">
        <v>1</v>
      </c>
      <c r="Q16" s="1">
        <v>1</v>
      </c>
      <c r="R16" s="1">
        <v>1</v>
      </c>
      <c r="S16" s="1">
        <v>1</v>
      </c>
      <c r="T16" s="1">
        <v>0.77</v>
      </c>
      <c r="U16" s="1">
        <v>0.54</v>
      </c>
      <c r="V16" s="1">
        <v>0.44500000000000001</v>
      </c>
      <c r="W16" s="1">
        <v>0.35</v>
      </c>
      <c r="X16" s="1">
        <v>0.44500000000000001</v>
      </c>
      <c r="Y16" s="1">
        <v>0.54</v>
      </c>
      <c r="Z16" s="1">
        <v>0.77</v>
      </c>
      <c r="AA16" s="1">
        <v>1</v>
      </c>
      <c r="AB16" s="1">
        <v>1</v>
      </c>
      <c r="AC16" s="1">
        <v>1</v>
      </c>
      <c r="AD16" s="1">
        <v>1</v>
      </c>
    </row>
    <row r="17" spans="2:30" ht="15.75" thickBot="1" x14ac:dyDescent="0.3">
      <c r="B17" s="13"/>
      <c r="C17" s="19">
        <f>INDEX(tab_H_orientation,MATCH(C14,list_orientation,0),MATCH(D14,list_H_orientation,0))</f>
        <v>1</v>
      </c>
      <c r="D17" s="14">
        <f>(C16+(D16/(D15/5))*C17)/C15</f>
        <v>0.82915555555555565</v>
      </c>
      <c r="L17" t="s">
        <v>33</v>
      </c>
      <c r="M17" s="3" t="s">
        <v>27</v>
      </c>
      <c r="N17">
        <f>MIN(0.07/Calcul!$Y$24,0.15)</f>
        <v>0.15</v>
      </c>
      <c r="O17" s="1">
        <v>1</v>
      </c>
      <c r="P17" s="1">
        <v>1</v>
      </c>
      <c r="Q17" s="1">
        <v>1</v>
      </c>
      <c r="R17" s="1">
        <v>1</v>
      </c>
      <c r="S17" s="1">
        <v>1</v>
      </c>
      <c r="T17" s="1">
        <v>0.77</v>
      </c>
      <c r="U17" s="1">
        <v>0.54</v>
      </c>
      <c r="V17" s="1">
        <v>0.44500000000000001</v>
      </c>
      <c r="W17" s="1">
        <v>0.35</v>
      </c>
      <c r="X17" s="1">
        <v>0.44500000000000001</v>
      </c>
      <c r="Y17" s="1">
        <v>0.54</v>
      </c>
      <c r="Z17" s="1">
        <v>0.77</v>
      </c>
      <c r="AA17" s="1">
        <v>1</v>
      </c>
      <c r="AB17" s="1">
        <v>1</v>
      </c>
      <c r="AC17" s="1">
        <v>1</v>
      </c>
      <c r="AD17" s="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Calcul</vt:lpstr>
      <vt:lpstr>Données</vt:lpstr>
      <vt:lpstr>list_H_orientation</vt:lpstr>
      <vt:lpstr>list_orientation</vt:lpstr>
      <vt:lpstr>list_position</vt:lpstr>
      <vt:lpstr>list_type</vt:lpstr>
      <vt:lpstr>tab_H_orientation</vt:lpstr>
      <vt:lpstr>tab_orientation</vt:lpstr>
      <vt:lpstr>tab_position</vt:lpstr>
      <vt:lpstr>tab_type</vt:lpstr>
    </vt:vector>
  </TitlesOfParts>
  <Company>Physeos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Chin Carvoeiro</dc:creator>
  <cp:lastModifiedBy>Pierre-André Seppey</cp:lastModifiedBy>
  <cp:lastPrinted>2014-07-08T16:29:06Z</cp:lastPrinted>
  <dcterms:created xsi:type="dcterms:W3CDTF">2014-07-08T09:23:31Z</dcterms:created>
  <dcterms:modified xsi:type="dcterms:W3CDTF">2021-01-18T16:34:17Z</dcterms:modified>
</cp:coreProperties>
</file>